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emierehottubs-my.sharepoint.com/personal/bill_premierehottubs_com/Documents/Documents/PSS/2 - Hot Tub SERUM/Dealer Development/Auto-Ship &amp; Auto-Replenishment/Auto-Ship/"/>
    </mc:Choice>
  </mc:AlternateContent>
  <xr:revisionPtr revIDLastSave="196" documentId="8_{BB6DD68E-D305-446E-AD3E-2F830DD00038}" xr6:coauthVersionLast="47" xr6:coauthVersionMax="47" xr10:uidLastSave="{54604CDA-CDB1-4CD4-9E5A-44F078239E58}"/>
  <bookViews>
    <workbookView xWindow="-120" yWindow="-120" windowWidth="24240" windowHeight="13140" xr2:uid="{6AEC338C-2CBA-4372-8381-2F91340D0BDC}"/>
  </bookViews>
  <sheets>
    <sheet name="Serum Profit Projection" sheetId="1" r:id="rId1"/>
    <sheet name="Variables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1" i="1" l="1"/>
  <c r="N21" i="1"/>
  <c r="M21" i="1"/>
  <c r="L21" i="1"/>
  <c r="K21" i="1"/>
  <c r="J21" i="1"/>
  <c r="I21" i="1"/>
  <c r="H21" i="1"/>
  <c r="G21" i="1"/>
  <c r="F21" i="1"/>
  <c r="F27" i="3"/>
  <c r="F26" i="3"/>
  <c r="J26" i="3"/>
  <c r="F22" i="3"/>
  <c r="F23" i="3" s="1"/>
  <c r="K22" i="3"/>
  <c r="K26" i="3" s="1"/>
  <c r="K27" i="3" s="1"/>
  <c r="J22" i="3"/>
  <c r="J21" i="3"/>
  <c r="K21" i="3"/>
  <c r="F21" i="3"/>
  <c r="J23" i="3" l="1"/>
  <c r="K23" i="3"/>
  <c r="J27" i="3"/>
  <c r="H22" i="3"/>
  <c r="G22" i="3"/>
  <c r="F15" i="1"/>
  <c r="I22" i="3" l="1"/>
  <c r="I26" i="3" s="1"/>
  <c r="H26" i="3"/>
  <c r="G26" i="3"/>
  <c r="I21" i="3"/>
  <c r="H21" i="3"/>
  <c r="G21" i="3"/>
  <c r="G23" i="3" s="1"/>
  <c r="I27" i="3" l="1"/>
  <c r="G27" i="3"/>
  <c r="H27" i="3"/>
  <c r="H23" i="3"/>
  <c r="I23" i="3"/>
  <c r="F5" i="1" l="1"/>
  <c r="F11" i="1" s="1"/>
  <c r="F12" i="1" s="1"/>
  <c r="F20" i="1" l="1"/>
  <c r="F23" i="1" s="1"/>
  <c r="G5" i="1"/>
  <c r="G11" i="1" l="1"/>
  <c r="G20" i="1" s="1"/>
  <c r="G23" i="1" s="1"/>
  <c r="H5" i="1"/>
  <c r="G12" i="1" l="1"/>
  <c r="I5" i="1"/>
  <c r="H11" i="1"/>
  <c r="H20" i="1" s="1"/>
  <c r="H23" i="1" s="1"/>
  <c r="H12" i="1" l="1"/>
  <c r="J5" i="1"/>
  <c r="I11" i="1"/>
  <c r="I20" i="1" s="1"/>
  <c r="I23" i="1" s="1"/>
  <c r="I12" i="1" l="1"/>
  <c r="K5" i="1"/>
  <c r="J11" i="1"/>
  <c r="J20" i="1" s="1"/>
  <c r="J23" i="1" s="1"/>
  <c r="J12" i="1" l="1"/>
  <c r="K11" i="1"/>
  <c r="K20" i="1" s="1"/>
  <c r="K23" i="1" s="1"/>
  <c r="L5" i="1"/>
  <c r="K12" i="1" l="1"/>
  <c r="L11" i="1"/>
  <c r="L20" i="1" s="1"/>
  <c r="L23" i="1" s="1"/>
  <c r="M5" i="1"/>
  <c r="L12" i="1" l="1"/>
  <c r="M11" i="1"/>
  <c r="M20" i="1" s="1"/>
  <c r="M23" i="1" s="1"/>
  <c r="N5" i="1"/>
  <c r="M12" i="1" l="1"/>
  <c r="N11" i="1"/>
  <c r="N20" i="1" s="1"/>
  <c r="N23" i="1" s="1"/>
  <c r="O5" i="1"/>
  <c r="N12" i="1" l="1"/>
  <c r="O11" i="1"/>
  <c r="O20" i="1" s="1"/>
  <c r="O23" i="1" s="1"/>
  <c r="O12" i="1" l="1"/>
</calcChain>
</file>

<file path=xl/sharedStrings.xml><?xml version="1.0" encoding="utf-8"?>
<sst xmlns="http://schemas.openxmlformats.org/spreadsheetml/2006/main" count="55" uniqueCount="48">
  <si>
    <t>How many spas do you sell annually?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</si>
  <si>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</si>
  <si>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</si>
  <si>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</si>
  <si>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</si>
  <si>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</si>
  <si>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</si>
  <si>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</si>
  <si>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</si>
  <si>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</si>
  <si>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</si>
  <si>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At what rate do you plan to grow your business?</t>
  </si>
  <si>
    <t>What % of spa sales will include Auto-Ship</t>
  </si>
  <si>
    <t>Will you manage your Auto-Ship Program of have us do this for you?</t>
  </si>
  <si>
    <t>We will</t>
  </si>
  <si>
    <t>2L MAP</t>
  </si>
  <si>
    <t>2L Cost</t>
  </si>
  <si>
    <t>Serum Sales</t>
  </si>
  <si>
    <t>Serum Cost</t>
  </si>
  <si>
    <t>2L</t>
  </si>
  <si>
    <t>2 oz.</t>
  </si>
  <si>
    <t>(assuming $10,000 Average Spa Sale)</t>
  </si>
  <si>
    <t>Annual Cost</t>
  </si>
  <si>
    <t>If Serum Manages Program</t>
  </si>
  <si>
    <t xml:space="preserve">% to TOTAL Sales </t>
  </si>
  <si>
    <t>Gross Margin</t>
  </si>
  <si>
    <t>Annual Serum Auto-Ship Profit</t>
  </si>
  <si>
    <t>Annual Serum Auto-Ship Revenue</t>
  </si>
  <si>
    <r>
      <t xml:space="preserve">Serum Auto-Ship Sales / Profit Projection
</t>
    </r>
    <r>
      <rPr>
        <b/>
        <sz val="16"/>
        <color theme="0"/>
        <rFont val="Calibri"/>
        <family val="2"/>
        <scheme val="minor"/>
      </rPr>
      <t>per Showroom</t>
    </r>
  </si>
  <si>
    <t>How many spas do you sell per showroom annually?</t>
  </si>
  <si>
    <t>Serum will</t>
  </si>
  <si>
    <t>Discount</t>
  </si>
  <si>
    <t>2L DSRP</t>
  </si>
  <si>
    <t>Assumes Three 2L and 1/2 TC annually</t>
  </si>
  <si>
    <t>per Auto-Ship Customer w/ DSRP</t>
  </si>
  <si>
    <t>Margin</t>
  </si>
  <si>
    <t>Purchase Discount
My individual orders will exceed</t>
  </si>
  <si>
    <t>$25 - $50K</t>
  </si>
  <si>
    <t>$10 - $25K</t>
  </si>
  <si>
    <t>&lt; $10K</t>
  </si>
  <si>
    <t>Annual Purchase Commitment</t>
  </si>
  <si>
    <t>(includes Serum Start-Up Kit Discount)</t>
  </si>
  <si>
    <t>$50K - $100K</t>
  </si>
  <si>
    <t>&gt; $100K</t>
  </si>
  <si>
    <t>$16.50 + $10.00 (shipping , labor) per box</t>
  </si>
  <si>
    <t>$0</t>
  </si>
  <si>
    <t>% of TOTAL SHOWROOM PROFIT</t>
  </si>
  <si>
    <t>You sell a spa once but you sell Serum 3x a year EVERY year!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</si>
</sst>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i/>
      <sz val="13"/>
      <color rgb="FF0000FF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454545"/>
      <name val="Courier New"/>
      <family val="3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color rgb="FFFFFF00"/>
      <name val="Calibri"/>
      <family val="2"/>
      <scheme val="minor"/>
    </font>
    <font>
      <b/>
      <sz val="13"/>
      <color rgb="FFFFFF00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9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right" vertical="center" wrapText="1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right" vertical="center" wrapText="1"/>
    </xf>
    <xf numFmtId="9" fontId="0" fillId="0" borderId="0" xfId="0" applyNumberFormat="1" applyAlignment="1">
      <alignment vertical="center"/>
    </xf>
    <xf numFmtId="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 vertical="center" wrapText="1"/>
    </xf>
    <xf numFmtId="49" fontId="0" fillId="0" borderId="0" xfId="0" applyNumberFormat="1" applyAlignment="1">
      <alignment horizontal="center" vertical="center"/>
    </xf>
    <xf numFmtId="42" fontId="1" fillId="0" borderId="0" xfId="0" applyNumberFormat="1" applyFont="1" applyAlignment="1">
      <alignment vertical="center"/>
    </xf>
    <xf numFmtId="42" fontId="0" fillId="0" borderId="0" xfId="0" applyNumberFormat="1" applyAlignment="1">
      <alignment vertical="center"/>
    </xf>
    <xf numFmtId="42" fontId="3" fillId="4" borderId="2" xfId="0" applyNumberFormat="1" applyFont="1" applyFill="1" applyBorder="1" applyAlignment="1">
      <alignment horizontal="right" vertical="center" wrapText="1"/>
    </xf>
    <xf numFmtId="42" fontId="3" fillId="4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center" vertical="center"/>
    </xf>
    <xf numFmtId="37" fontId="0" fillId="0" borderId="0" xfId="0" applyNumberFormat="1" applyAlignment="1">
      <alignment horizontal="right" vertical="center" wrapText="1"/>
    </xf>
    <xf numFmtId="37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0" fillId="5" borderId="0" xfId="0" applyFill="1" applyAlignment="1">
      <alignment vertical="center"/>
    </xf>
    <xf numFmtId="0" fontId="3" fillId="5" borderId="0" xfId="0" applyFont="1" applyFill="1" applyAlignment="1">
      <alignment horizontal="right" vertical="center" wrapText="1"/>
    </xf>
    <xf numFmtId="3" fontId="0" fillId="5" borderId="0" xfId="0" applyNumberFormat="1" applyFill="1" applyAlignment="1">
      <alignment vertical="center"/>
    </xf>
    <xf numFmtId="3" fontId="3" fillId="5" borderId="0" xfId="0" applyNumberFormat="1" applyFont="1" applyFill="1" applyAlignment="1">
      <alignment horizontal="right" vertical="center" wrapText="1"/>
    </xf>
    <xf numFmtId="9" fontId="0" fillId="5" borderId="0" xfId="0" applyNumberFormat="1" applyFill="1" applyAlignment="1">
      <alignment vertical="center"/>
    </xf>
    <xf numFmtId="9" fontId="3" fillId="5" borderId="0" xfId="0" applyNumberFormat="1" applyFont="1" applyFill="1" applyAlignment="1">
      <alignment horizontal="right" vertical="center" wrapText="1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9" fontId="5" fillId="5" borderId="0" xfId="0" applyNumberFormat="1" applyFont="1" applyFill="1" applyAlignment="1">
      <alignment horizontal="center" vertical="center"/>
    </xf>
    <xf numFmtId="42" fontId="1" fillId="5" borderId="0" xfId="0" applyNumberFormat="1" applyFont="1" applyFill="1" applyAlignment="1">
      <alignment vertical="center"/>
    </xf>
    <xf numFmtId="42" fontId="4" fillId="5" borderId="0" xfId="0" applyNumberFormat="1" applyFont="1" applyFill="1" applyAlignment="1">
      <alignment horizontal="center" vertical="center"/>
    </xf>
    <xf numFmtId="164" fontId="8" fillId="5" borderId="0" xfId="0" applyNumberFormat="1" applyFont="1" applyFill="1" applyAlignment="1">
      <alignment vertical="center"/>
    </xf>
    <xf numFmtId="164" fontId="7" fillId="5" borderId="0" xfId="0" quotePrefix="1" applyNumberFormat="1" applyFont="1" applyFill="1" applyAlignment="1">
      <alignment horizontal="right" vertical="center" wrapText="1"/>
    </xf>
    <xf numFmtId="164" fontId="9" fillId="5" borderId="0" xfId="0" applyNumberFormat="1" applyFont="1" applyFill="1" applyAlignment="1">
      <alignment horizontal="center" vertical="center"/>
    </xf>
    <xf numFmtId="164" fontId="7" fillId="5" borderId="0" xfId="0" applyNumberFormat="1" applyFont="1" applyFill="1" applyAlignment="1">
      <alignment horizontal="center" vertical="center"/>
    </xf>
    <xf numFmtId="42" fontId="0" fillId="5" borderId="0" xfId="0" applyNumberFormat="1" applyFill="1" applyAlignment="1">
      <alignment vertical="center"/>
    </xf>
    <xf numFmtId="42" fontId="6" fillId="5" borderId="0" xfId="0" quotePrefix="1" applyNumberFormat="1" applyFont="1" applyFill="1" applyAlignment="1">
      <alignment horizontal="right" vertical="center" wrapText="1"/>
    </xf>
    <xf numFmtId="42" fontId="5" fillId="5" borderId="0" xfId="0" applyNumberFormat="1" applyFont="1" applyFill="1" applyAlignment="1">
      <alignment horizontal="center" vertical="center"/>
    </xf>
    <xf numFmtId="42" fontId="3" fillId="5" borderId="0" xfId="0" applyNumberFormat="1" applyFont="1" applyFill="1" applyAlignment="1">
      <alignment horizontal="right" vertical="center" wrapText="1"/>
    </xf>
    <xf numFmtId="3" fontId="3" fillId="5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37" fontId="1" fillId="0" borderId="0" xfId="0" applyNumberFormat="1" applyFont="1" applyAlignment="1">
      <alignment horizontal="righ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0" fillId="5" borderId="0" xfId="0" applyNumberFormat="1" applyFill="1" applyAlignment="1">
      <alignment vertical="center"/>
    </xf>
    <xf numFmtId="0" fontId="3" fillId="5" borderId="0" xfId="0" applyNumberFormat="1" applyFont="1" applyFill="1" applyAlignment="1">
      <alignment horizontal="right" vertical="center" wrapText="1"/>
    </xf>
    <xf numFmtId="0" fontId="4" fillId="5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42" fontId="10" fillId="5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/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9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2" fontId="4" fillId="3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16" fillId="5" borderId="0" xfId="0" applyFont="1" applyFill="1" applyAlignment="1">
      <alignment horizontal="right" vertical="center" wrapText="1"/>
    </xf>
    <xf numFmtId="0" fontId="17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2" fontId="0" fillId="0" borderId="0" xfId="0" quotePrefix="1" applyNumberFormat="1" applyAlignment="1">
      <alignment horizontal="center" vertical="center"/>
    </xf>
    <xf numFmtId="164" fontId="0" fillId="7" borderId="0" xfId="0" applyNumberFormat="1" applyFill="1" applyAlignment="1">
      <alignment horizontal="center" vertical="center"/>
    </xf>
    <xf numFmtId="44" fontId="0" fillId="7" borderId="0" xfId="0" applyNumberForma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42" fontId="6" fillId="5" borderId="0" xfId="0" applyNumberFormat="1" applyFont="1" applyFill="1" applyAlignment="1">
      <alignment horizontal="right" vertical="center" wrapText="1"/>
    </xf>
    <xf numFmtId="5" fontId="4" fillId="3" borderId="3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42" fontId="3" fillId="5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2" fontId="0" fillId="7" borderId="0" xfId="0" quotePrefix="1" applyNumberFormat="1" applyFill="1" applyAlignment="1">
      <alignment horizontal="center" vertical="center"/>
    </xf>
    <xf numFmtId="164" fontId="18" fillId="5" borderId="0" xfId="0" applyNumberFormat="1" applyFont="1" applyFill="1" applyAlignment="1">
      <alignment vertical="center"/>
    </xf>
    <xf numFmtId="164" fontId="18" fillId="0" borderId="0" xfId="0" applyNumberFormat="1" applyFont="1" applyAlignment="1">
      <alignment vertical="center"/>
    </xf>
    <xf numFmtId="164" fontId="19" fillId="8" borderId="10" xfId="0" quotePrefix="1" applyNumberFormat="1" applyFont="1" applyFill="1" applyBorder="1" applyAlignment="1">
      <alignment horizontal="right" vertical="center" wrapText="1"/>
    </xf>
    <xf numFmtId="164" fontId="19" fillId="8" borderId="11" xfId="0" applyNumberFormat="1" applyFont="1" applyFill="1" applyBorder="1" applyAlignment="1">
      <alignment vertical="center"/>
    </xf>
    <xf numFmtId="164" fontId="19" fillId="8" borderId="11" xfId="0" applyNumberFormat="1" applyFont="1" applyFill="1" applyBorder="1" applyAlignment="1">
      <alignment horizontal="center" vertical="center"/>
    </xf>
    <xf numFmtId="164" fontId="19" fillId="8" borderId="12" xfId="0" applyNumberFormat="1" applyFont="1" applyFill="1" applyBorder="1" applyAlignment="1">
      <alignment horizontal="center" vertical="center"/>
    </xf>
    <xf numFmtId="42" fontId="20" fillId="8" borderId="13" xfId="0" applyNumberFormat="1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99FF99"/>
      <color rgb="FFFFFF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Annual</a:t>
            </a:r>
            <a:r>
              <a:rPr lang="en-US" b="1" baseline="0"/>
              <a:t> Serum Sales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'Serum Profit Projection'!$F$3:$O$3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'Serum Profit Projection'!$F$11:$O$11</c:f>
              <c:numCache>
                <c:formatCode>_("$"* #,##0_);_("$"* \(#,##0\);_("$"* "-"_);_(@_)</c:formatCode>
                <c:ptCount val="10"/>
                <c:pt idx="0">
                  <c:v>56598.750000000007</c:v>
                </c:pt>
                <c:pt idx="1">
                  <c:v>117442.40625000001</c:v>
                </c:pt>
                <c:pt idx="2">
                  <c:v>182849.33671875001</c:v>
                </c:pt>
                <c:pt idx="3">
                  <c:v>253161.78697265626</c:v>
                </c:pt>
                <c:pt idx="4">
                  <c:v>328747.67099560547</c:v>
                </c:pt>
                <c:pt idx="5">
                  <c:v>410002.49632027588</c:v>
                </c:pt>
                <c:pt idx="6">
                  <c:v>497351.43354429654</c:v>
                </c:pt>
                <c:pt idx="7">
                  <c:v>591251.5410601187</c:v>
                </c:pt>
                <c:pt idx="8">
                  <c:v>692194.15663962765</c:v>
                </c:pt>
                <c:pt idx="9">
                  <c:v>800707.46838759969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29-44AD-9089-8F3CBFDD2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4551167"/>
        <c:axId val="1826540463"/>
      </c:lineChart>
      <c:catAx>
        <c:axId val="1924551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6540463"/>
        <c:crosses val="autoZero"/>
        <c:auto val="1"/>
        <c:lblAlgn val="ctr"/>
        <c:lblOffset val="100"/>
        <c:noMultiLvlLbl val="0"/>
      </c:catAx>
      <c:valAx>
        <c:axId val="1826540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55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  <a:alpha val="50000"/>
      </a:schemeClr>
    </a:solidFill>
    <a:ln w="31750" cap="flat" cmpd="sng" algn="ctr">
      <a:solidFill>
        <a:srgbClr val="0000FF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Annual</a:t>
            </a:r>
            <a:r>
              <a:rPr lang="en-US" b="1" baseline="0"/>
              <a:t> Serum Profit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'Serum Profit Projection'!$F$3:$O$3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'Serum Profit Projection'!$F$20:$O$20</c:f>
              <c:numCache>
                <c:formatCode>_("$"* #,##0_);_("$"* \(#,##0\);_("$"* "-"_);_(@_)</c:formatCode>
                <c:ptCount val="10"/>
                <c:pt idx="0">
                  <c:v>33597.187500000007</c:v>
                </c:pt>
                <c:pt idx="1">
                  <c:v>69714.164062500015</c:v>
                </c:pt>
                <c:pt idx="2">
                  <c:v>108539.91386718751</c:v>
                </c:pt>
                <c:pt idx="3">
                  <c:v>150277.59490722656</c:v>
                </c:pt>
                <c:pt idx="4">
                  <c:v>195145.60202526857</c:v>
                </c:pt>
                <c:pt idx="5">
                  <c:v>243378.70967716372</c:v>
                </c:pt>
                <c:pt idx="6">
                  <c:v>295229.30040295096</c:v>
                </c:pt>
                <c:pt idx="7">
                  <c:v>350968.68543317227</c:v>
                </c:pt>
                <c:pt idx="8">
                  <c:v>410888.52434066019</c:v>
                </c:pt>
                <c:pt idx="9">
                  <c:v>475302.35116620967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7-4DE6-BC1E-AD2CD2DDB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4551167"/>
        <c:axId val="1826540463"/>
      </c:lineChart>
      <c:catAx>
        <c:axId val="1924551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6540463"/>
        <c:crosses val="autoZero"/>
        <c:auto val="1"/>
        <c:lblAlgn val="ctr"/>
        <c:lblOffset val="100"/>
        <c:noMultiLvlLbl val="0"/>
      </c:catAx>
      <c:valAx>
        <c:axId val="1826540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55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  <a:alpha val="50000"/>
      </a:schemeClr>
    </a:solidFill>
    <a:ln w="31750" cap="flat" cmpd="sng" algn="ctr">
      <a:solidFill>
        <a:srgbClr val="0000FF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1464598</xdr:colOff>
      <xdr:row>0</xdr:row>
      <xdr:rowOff>235565</xdr:rowOff>
    </xdr:from>
    <xdr:to>
      <xdr:col>3</xdr:col>
      <xdr:colOff>614517</xdr:colOff>
      <xdr:row>3</xdr:row>
      <xdr:rowOff>61452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3E1AD2C6-504A-41DE-8835-3F53151611AE}"/>
            </a:ext>
          </a:extLst>
        </xdr:cNvPr>
        <xdr:cNvSpPr/>
      </xdr:nvSpPr>
      <xdr:spPr>
        <a:xfrm>
          <a:off x="1577259" y="235565"/>
          <a:ext cx="1546532" cy="921774"/>
        </a:xfrm>
        <a:prstGeom prst="wedgeRoundRectCallout">
          <a:avLst>
            <a:gd name="adj1" fmla="val 37332"/>
            <a:gd name="adj2" fmla="val 63582"/>
            <a:gd name="adj3" fmla="val 16667"/>
          </a:avLst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2400" b="1"/>
            <a:t>Select Options</a:t>
          </a:r>
        </a:p>
      </xdr:txBody>
    </xdr:sp>
    <xdr:clientData/>
  </xdr:twoCellAnchor>
  <xdr:twoCellAnchor>
    <xdr:from>
      <xdr:col>15</xdr:col>
      <xdr:colOff>92177</xdr:colOff>
      <xdr:row>2</xdr:row>
      <xdr:rowOff>10700</xdr:rowOff>
    </xdr:from>
    <xdr:to>
      <xdr:col>21</xdr:col>
      <xdr:colOff>594032</xdr:colOff>
      <xdr:row>8</xdr:row>
      <xdr:rowOff>365603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D3D71F-7A5C-4B92-A90B-C866B057C27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102419</xdr:colOff>
      <xdr:row>10</xdr:row>
      <xdr:rowOff>8091</xdr:rowOff>
    </xdr:from>
    <xdr:to>
      <xdr:col>21</xdr:col>
      <xdr:colOff>604274</xdr:colOff>
      <xdr:row>17</xdr:row>
      <xdr:rowOff>565887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BCD15D1-2373-4987-93E6-8A6E140F92B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399435</xdr:colOff>
      <xdr:row>12</xdr:row>
      <xdr:rowOff>184354</xdr:rowOff>
    </xdr:from>
    <xdr:to>
      <xdr:col>14</xdr:col>
      <xdr:colOff>655484</xdr:colOff>
      <xdr:row>17</xdr:row>
      <xdr:rowOff>430161</xdr:rowOff>
    </xdr:to>
    <xdr:sp macro="" textlink="">
      <xdr:nvSpPr>
        <xdr:cNvPr id="8" name="Thought Bubble: Cloud 7">
          <a:extLst>
            <a:ext uri="{FF2B5EF4-FFF2-40B4-BE49-F238E27FC236}">
              <a16:creationId xmlns:a16="http://schemas.microsoft.com/office/drawing/2014/main" id="{4103789E-31E4-4EC2-8A29-B7000442DA7E}"/>
            </a:ext>
          </a:extLst>
        </xdr:cNvPr>
        <xdr:cNvSpPr/>
      </xdr:nvSpPr>
      <xdr:spPr>
        <a:xfrm>
          <a:off x="9914193" y="3441289"/>
          <a:ext cx="1894759" cy="1116372"/>
        </a:xfrm>
        <a:prstGeom prst="cloudCallout">
          <a:avLst>
            <a:gd name="adj1" fmla="val 36265"/>
            <a:gd name="adj2" fmla="val 79412"/>
          </a:avLst>
        </a:prstGeom>
        <a:solidFill>
          <a:srgbClr val="FF0000"/>
        </a:solidFill>
        <a:ln w="317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500" b="1"/>
            <a:t>Your Annual Serum Profits at Year 10!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7F4C-2266-48AC-B6DC-0048E4DD4F31}">
  <dimension ref="A1:Z32"/>
  <sheetViews>
    <sheetView tabSelected="1" zoomScale="93" zoomScaleNormal="93" workbookViewId="0">
      <selection activeCell="J15" sqref="J15"/>
    </sheetView>
  </sheetViews>
  <sheetFormatPr defaultRowHeight="17.25" x14ac:dyDescent="0.25"/>
  <cols>
    <col min="1" max="1" width="2.7109375" style="2" customWidth="1"/>
    <col min="2" max="2" width="35.7109375" style="24" customWidth="1"/>
    <col min="3" max="3" width="1.7109375" style="2" customWidth="1"/>
    <col min="4" max="4" width="14.7109375" style="8" customWidth="1"/>
    <col min="5" max="5" width="1.7109375" style="2" customWidth="1"/>
    <col min="6" max="15" width="12.28515625" style="3" customWidth="1"/>
    <col min="16" max="16" width="1.7109375" style="2" customWidth="1"/>
    <col min="17" max="16384" width="9.140625" style="2"/>
  </cols>
  <sheetData>
    <row r="1" spans="1:26" ht="54" customHeight="1" x14ac:dyDescent="0.25">
      <c r="A1" s="32"/>
      <c r="B1" s="33"/>
      <c r="C1" s="32"/>
      <c r="D1" s="38"/>
      <c r="E1" s="32"/>
      <c r="F1" s="69" t="s">
        <v>28</v>
      </c>
      <c r="G1" s="70"/>
      <c r="H1" s="70"/>
      <c r="I1" s="70"/>
      <c r="J1" s="70"/>
      <c r="K1" s="70"/>
      <c r="L1" s="70"/>
      <c r="M1" s="70"/>
      <c r="N1" s="70"/>
      <c r="O1" s="70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5.0999999999999996" customHeight="1" x14ac:dyDescent="0.25">
      <c r="A2" s="32"/>
      <c r="B2" s="33"/>
      <c r="C2" s="32"/>
      <c r="D2" s="38"/>
      <c r="E2" s="32"/>
      <c r="F2" s="39"/>
      <c r="G2" s="39"/>
      <c r="H2" s="39"/>
      <c r="I2" s="39"/>
      <c r="J2" s="39"/>
      <c r="K2" s="39"/>
      <c r="L2" s="39"/>
      <c r="M2" s="39"/>
      <c r="N2" s="39"/>
      <c r="O2" s="39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8.75" x14ac:dyDescent="0.25">
      <c r="A3" s="32"/>
      <c r="B3" s="33"/>
      <c r="C3" s="32"/>
      <c r="D3" s="38"/>
      <c r="E3" s="32"/>
      <c r="F3" s="66" t="s">
        <v>1</v>
      </c>
      <c r="G3" s="67" t="s">
        <v>2</v>
      </c>
      <c r="H3" s="67" t="s">
        <v>3</v>
      </c>
      <c r="I3" s="67" t="s">
        <v>4</v>
      </c>
      <c r="J3" s="67" t="s">
        <v>5</v>
      </c>
      <c r="K3" s="67" t="s">
        <v>6</v>
      </c>
      <c r="L3" s="67" t="s">
        <v>7</v>
      </c>
      <c r="M3" s="67" t="s">
        <v>8</v>
      </c>
      <c r="N3" s="67" t="s">
        <v>9</v>
      </c>
      <c r="O3" s="68" t="s">
        <v>10</v>
      </c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8" thickBot="1" x14ac:dyDescent="0.3">
      <c r="A4" s="32"/>
      <c r="B4" s="33"/>
      <c r="C4" s="32"/>
      <c r="D4" s="38"/>
      <c r="E4" s="32"/>
      <c r="F4" s="39"/>
      <c r="G4" s="39"/>
      <c r="H4" s="39"/>
      <c r="I4" s="39"/>
      <c r="J4" s="39"/>
      <c r="K4" s="39"/>
      <c r="L4" s="39"/>
      <c r="M4" s="39"/>
      <c r="N4" s="39"/>
      <c r="O4" s="39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s="13" customFormat="1" ht="32.25" thickBot="1" x14ac:dyDescent="0.3">
      <c r="A5" s="34"/>
      <c r="B5" s="35" t="s">
        <v>29</v>
      </c>
      <c r="C5" s="34"/>
      <c r="D5" s="9">
        <v>200</v>
      </c>
      <c r="E5" s="34"/>
      <c r="F5" s="51">
        <f>D5</f>
        <v>200</v>
      </c>
      <c r="G5" s="51">
        <f>F5*(1+$D7)</f>
        <v>215</v>
      </c>
      <c r="H5" s="51">
        <f t="shared" ref="H5:O5" si="0">G5*(1+$D7)</f>
        <v>231.125</v>
      </c>
      <c r="I5" s="51">
        <f>H5*(1+$D7)</f>
        <v>248.45937499999999</v>
      </c>
      <c r="J5" s="51">
        <f t="shared" si="0"/>
        <v>267.09382812499996</v>
      </c>
      <c r="K5" s="51">
        <f t="shared" si="0"/>
        <v>287.12586523437494</v>
      </c>
      <c r="L5" s="51">
        <f t="shared" si="0"/>
        <v>308.66030512695306</v>
      </c>
      <c r="M5" s="51">
        <f t="shared" si="0"/>
        <v>331.80982801147451</v>
      </c>
      <c r="N5" s="51">
        <f t="shared" si="0"/>
        <v>356.69556511233509</v>
      </c>
      <c r="O5" s="51">
        <f t="shared" si="0"/>
        <v>383.44773249576019</v>
      </c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9.9499999999999993" customHeight="1" thickBot="1" x14ac:dyDescent="0.3">
      <c r="A6" s="32"/>
      <c r="B6" s="33"/>
      <c r="C6" s="32"/>
      <c r="D6" s="38"/>
      <c r="E6" s="32"/>
      <c r="F6" s="39"/>
      <c r="G6" s="39"/>
      <c r="H6" s="39"/>
      <c r="I6" s="39"/>
      <c r="J6" s="39"/>
      <c r="K6" s="39"/>
      <c r="L6" s="39"/>
      <c r="M6" s="39"/>
      <c r="N6" s="39"/>
      <c r="O6" s="39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s="16" customFormat="1" ht="32.25" thickBot="1" x14ac:dyDescent="0.3">
      <c r="A7" s="36"/>
      <c r="B7" s="37" t="s">
        <v>11</v>
      </c>
      <c r="C7" s="36"/>
      <c r="D7" s="11">
        <v>7.4999999999999997E-2</v>
      </c>
      <c r="E7" s="36"/>
      <c r="F7" s="40"/>
      <c r="G7" s="40"/>
      <c r="H7" s="40"/>
      <c r="I7" s="40"/>
      <c r="J7" s="40"/>
      <c r="K7" s="40"/>
      <c r="L7" s="40"/>
      <c r="M7" s="40"/>
      <c r="N7" s="40"/>
      <c r="O7" s="40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9.9499999999999993" customHeight="1" thickBot="1" x14ac:dyDescent="0.3">
      <c r="A8" s="32"/>
      <c r="B8" s="33"/>
      <c r="C8" s="32"/>
      <c r="D8" s="38"/>
      <c r="E8" s="32"/>
      <c r="F8" s="39"/>
      <c r="G8" s="39"/>
      <c r="H8" s="39"/>
      <c r="I8" s="39"/>
      <c r="J8" s="39"/>
      <c r="K8" s="39"/>
      <c r="L8" s="39"/>
      <c r="M8" s="39"/>
      <c r="N8" s="39"/>
      <c r="O8" s="39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s="16" customFormat="1" ht="32.25" thickBot="1" x14ac:dyDescent="0.3">
      <c r="A9" s="36"/>
      <c r="B9" s="37" t="s">
        <v>12</v>
      </c>
      <c r="C9" s="36"/>
      <c r="D9" s="10">
        <v>0.75</v>
      </c>
      <c r="E9" s="36"/>
      <c r="F9" s="40"/>
      <c r="G9" s="40"/>
      <c r="H9" s="40"/>
      <c r="I9" s="40"/>
      <c r="J9" s="40"/>
      <c r="K9" s="40"/>
      <c r="L9" s="40"/>
      <c r="M9" s="40"/>
      <c r="N9" s="40"/>
      <c r="O9" s="40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9.9499999999999993" customHeight="1" x14ac:dyDescent="0.25">
      <c r="A10" s="32"/>
      <c r="B10" s="33"/>
      <c r="C10" s="32"/>
      <c r="D10" s="38"/>
      <c r="E10" s="32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s="20" customFormat="1" ht="18" thickBot="1" x14ac:dyDescent="0.3">
      <c r="A11" s="41"/>
      <c r="B11" s="22" t="s">
        <v>27</v>
      </c>
      <c r="C11" s="41"/>
      <c r="D11" s="42"/>
      <c r="E11" s="41"/>
      <c r="F11" s="23">
        <f>F5*$D9*Variables!$K21</f>
        <v>56598.750000000007</v>
      </c>
      <c r="G11" s="23">
        <f>F11+(G5*$D9*Variables!$K21)</f>
        <v>117442.40625000001</v>
      </c>
      <c r="H11" s="23">
        <f>G11+(H5*$D9*Variables!$K21)</f>
        <v>182849.33671875001</v>
      </c>
      <c r="I11" s="23">
        <f>H11+(I5*$D9*Variables!$K21)</f>
        <v>253161.78697265626</v>
      </c>
      <c r="J11" s="23">
        <f>I11+(J5*$D9*Variables!$K21)</f>
        <v>328747.67099560547</v>
      </c>
      <c r="K11" s="23">
        <f>J11+(K5*$D9*Variables!$K21)</f>
        <v>410002.49632027588</v>
      </c>
      <c r="L11" s="23">
        <f>K11+(L5*$D9*Variables!$K21)</f>
        <v>497351.43354429654</v>
      </c>
      <c r="M11" s="23">
        <f>L11+(M5*$D9*Variables!$K21)</f>
        <v>591251.5410601187</v>
      </c>
      <c r="N11" s="23">
        <f>M11+(N5*$D9*Variables!$K21)</f>
        <v>692194.15663962765</v>
      </c>
      <c r="O11" s="23">
        <f>N11+(O5*$D9*Variables!$K21)</f>
        <v>800707.46838759969</v>
      </c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s="31" customFormat="1" ht="18" thickTop="1" x14ac:dyDescent="0.25">
      <c r="A12" s="43"/>
      <c r="B12" s="44" t="s">
        <v>24</v>
      </c>
      <c r="C12" s="43"/>
      <c r="D12" s="45"/>
      <c r="E12" s="43"/>
      <c r="F12" s="46">
        <f>F11/((F5*10000)+F11)</f>
        <v>2.7520560342653135E-2</v>
      </c>
      <c r="G12" s="46">
        <f t="shared" ref="G12:N12" si="1">G11/((G5*10000)+G11)</f>
        <v>5.1795100032653814E-2</v>
      </c>
      <c r="H12" s="46">
        <f t="shared" si="1"/>
        <v>7.3312772280877764E-2</v>
      </c>
      <c r="I12" s="46">
        <f t="shared" si="1"/>
        <v>9.2470559753701179E-2</v>
      </c>
      <c r="J12" s="46">
        <f t="shared" si="1"/>
        <v>0.10959402958483055</v>
      </c>
      <c r="K12" s="46">
        <f t="shared" si="1"/>
        <v>0.12495271718534488</v>
      </c>
      <c r="L12" s="46">
        <f t="shared" si="1"/>
        <v>0.13877169357247907</v>
      </c>
      <c r="M12" s="46">
        <f t="shared" si="1"/>
        <v>0.15124037707181495</v>
      </c>
      <c r="N12" s="46">
        <f t="shared" si="1"/>
        <v>0.16251932612888928</v>
      </c>
      <c r="O12" s="46">
        <f>O11/((O5*10000)+O11)</f>
        <v>0.17274553315267741</v>
      </c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s="21" customFormat="1" x14ac:dyDescent="0.25">
      <c r="A13" s="47"/>
      <c r="B13" s="48" t="s">
        <v>21</v>
      </c>
      <c r="C13" s="47"/>
      <c r="D13" s="42"/>
      <c r="E13" s="47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6" s="21" customFormat="1" ht="9.9499999999999993" customHeight="1" thickBot="1" x14ac:dyDescent="0.3">
      <c r="A14" s="47"/>
      <c r="B14" s="50"/>
      <c r="C14" s="47"/>
      <c r="D14" s="42"/>
      <c r="E14" s="47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s="21" customFormat="1" ht="16.149999999999999" customHeight="1" x14ac:dyDescent="0.25">
      <c r="A15" s="47"/>
      <c r="B15" s="50" t="s">
        <v>40</v>
      </c>
      <c r="C15" s="47"/>
      <c r="D15" s="88" t="s">
        <v>43</v>
      </c>
      <c r="E15" s="47"/>
      <c r="F15" s="89">
        <f>IF(D15=Variables!F8,Variables!F9,IF(D15=Variables!G8,Variables!G9,IF(D15=Variables!H8,Variables!H9,IF(D15=Variables!I8,Variables!I9,IF(D15=Variables!J8,Variables!J9,0)))))</f>
        <v>0.125</v>
      </c>
      <c r="G15" s="90" t="s">
        <v>31</v>
      </c>
      <c r="H15" s="49"/>
      <c r="I15" s="49"/>
      <c r="J15" s="49"/>
      <c r="K15" s="49"/>
      <c r="L15" s="49"/>
      <c r="M15" s="49"/>
      <c r="N15" s="49"/>
      <c r="O15" s="49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s="21" customFormat="1" ht="16.149999999999999" customHeight="1" thickBot="1" x14ac:dyDescent="0.3">
      <c r="A16" s="47"/>
      <c r="B16" s="87" t="s">
        <v>41</v>
      </c>
      <c r="C16" s="47"/>
      <c r="D16" s="74"/>
      <c r="E16" s="47"/>
      <c r="F16" s="74"/>
      <c r="G16" s="91"/>
      <c r="H16" s="49"/>
      <c r="I16" s="49"/>
      <c r="J16" s="49"/>
      <c r="K16" s="49"/>
      <c r="L16" s="49"/>
      <c r="M16" s="49"/>
      <c r="N16" s="49"/>
      <c r="O16" s="49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 s="21" customFormat="1" ht="9.9499999999999993" customHeight="1" thickBot="1" x14ac:dyDescent="0.3">
      <c r="A17" s="47"/>
      <c r="B17" s="50"/>
      <c r="C17" s="47"/>
      <c r="D17" s="42"/>
      <c r="E17" s="47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spans="1:26" s="60" customFormat="1" ht="48" thickBot="1" x14ac:dyDescent="0.3">
      <c r="A18" s="57"/>
      <c r="B18" s="58" t="s">
        <v>13</v>
      </c>
      <c r="C18" s="57"/>
      <c r="D18" s="56" t="s">
        <v>14</v>
      </c>
      <c r="E18" s="57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57"/>
      <c r="Q18" s="59"/>
      <c r="R18" s="57"/>
      <c r="S18" s="57"/>
      <c r="T18" s="57"/>
      <c r="U18" s="57"/>
      <c r="V18" s="57"/>
      <c r="W18" s="57"/>
      <c r="X18" s="57"/>
      <c r="Y18" s="57"/>
      <c r="Z18" s="57"/>
    </row>
    <row r="19" spans="1:26" s="21" customFormat="1" ht="9.9499999999999993" customHeight="1" thickBot="1" x14ac:dyDescent="0.3">
      <c r="A19" s="47"/>
      <c r="B19" s="50"/>
      <c r="C19" s="47"/>
      <c r="D19" s="42"/>
      <c r="E19" s="47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26" s="20" customFormat="1" ht="33.950000000000003" customHeight="1" thickBot="1" x14ac:dyDescent="0.3">
      <c r="A20" s="41"/>
      <c r="B20" s="22" t="s">
        <v>26</v>
      </c>
      <c r="C20" s="41"/>
      <c r="D20" s="42"/>
      <c r="E20" s="41"/>
      <c r="F20" s="23">
        <f>F11*F21</f>
        <v>33597.187500000007</v>
      </c>
      <c r="G20" s="23">
        <f>G11*G21</f>
        <v>69714.164062500015</v>
      </c>
      <c r="H20" s="23">
        <f>H11*H21</f>
        <v>108539.91386718751</v>
      </c>
      <c r="I20" s="23">
        <f>I11*I21</f>
        <v>150277.59490722656</v>
      </c>
      <c r="J20" s="23">
        <f>J11*J21</f>
        <v>195145.60202526857</v>
      </c>
      <c r="K20" s="23">
        <f>K11*K21</f>
        <v>243378.70967716372</v>
      </c>
      <c r="L20" s="23">
        <f>L11*L21</f>
        <v>295229.30040295096</v>
      </c>
      <c r="M20" s="23">
        <f>M11*M21</f>
        <v>350968.68543317227</v>
      </c>
      <c r="N20" s="23">
        <f>N11*N21</f>
        <v>410888.52434066019</v>
      </c>
      <c r="O20" s="23">
        <f>O11*O21</f>
        <v>475302.35116620967</v>
      </c>
      <c r="P20" s="41"/>
      <c r="Q20" s="99" t="s">
        <v>47</v>
      </c>
      <c r="R20" s="100"/>
      <c r="S20" s="100"/>
      <c r="T20" s="100"/>
      <c r="U20" s="100"/>
      <c r="V20" s="101"/>
      <c r="W20" s="41"/>
      <c r="X20" s="41"/>
      <c r="Y20" s="41"/>
      <c r="Z20" s="41"/>
    </row>
    <row r="21" spans="1:26" ht="18" thickTop="1" x14ac:dyDescent="0.25">
      <c r="A21" s="32"/>
      <c r="B21" s="44" t="s">
        <v>25</v>
      </c>
      <c r="C21" s="43"/>
      <c r="D21" s="45"/>
      <c r="E21" s="43"/>
      <c r="F21" s="46">
        <f>IF(AND($D15="&gt; $100K",$D18="We will"),Variables!$F23,IF(AND($D15="$50K - $100K",$D18="We will"),Variables!$G23,IF(AND($D15="$25 - $50K",$D18="We will"),Variables!$H23,IF(AND($D15="$10 - $25K",$D18="We will"),Variables!$I23,IF(AND($D15="&lt; $10K",$D18="We will"),Variables!$J23,IF(AND($D15="$0",$D18="We will"),Variables!$K23,IF(AND($D15="&gt; $100K",$D18="Serum will"),Variables!$F27,IF(AND($D15="$50K - $100K",$D18="Serum will"),Variables!$G27,IF(AND($D15="$25 - $50K",$D18="Serum will"),Variables!$H27,IF(AND($D15="$10 - $25K",$D18="Serum will"),Variables!$I27,IF(AND($D15="&lt; $10K",$D18="Serum will"),Variables!$J27,IF(AND($D15="$0",$D18="Serum will"),Variables!$K27))))))))))))</f>
        <v>0.59360299476578549</v>
      </c>
      <c r="G21" s="46">
        <f>IF(AND($D15="&gt; $100K",$D18="We will"),Variables!$F23,IF(AND($D15="$50K - $100K",$D18="We will"),Variables!$G23,IF(AND($D15="$25 - $50K",$D18="We will"),Variables!$H23,IF(AND($D15="$10 - $25K",$D18="We will"),Variables!$I23,IF(AND($D15="&lt; $10K",$D18="We will"),Variables!$J23,IF(AND($D15="$0",$D18="We will"),Variables!$K23,IF(AND($D15="&gt; $100K",$D18="Serum will"),Variables!$F27,IF(AND($D15="$50K - $100K",$D18="Serum will"),Variables!$G27,IF(AND($D15="$25 - $50K",$D18="Serum will"),Variables!$H27,IF(AND($D15="$10 - $25K",$D18="Serum will"),Variables!$I27,IF(AND($D15="&lt; $10K",$D18="Serum will"),Variables!$J27,IF(AND($D15="$0",$D18="Serum will"),Variables!$K27))))))))))))</f>
        <v>0.59360299476578549</v>
      </c>
      <c r="H21" s="46">
        <f>IF(AND($D15="&gt; $100K",$D18="We will"),Variables!$F23,IF(AND($D15="$50K - $100K",$D18="We will"),Variables!$G23,IF(AND($D15="$25 - $50K",$D18="We will"),Variables!$H23,IF(AND($D15="$10 - $25K",$D18="We will"),Variables!$I23,IF(AND($D15="&lt; $10K",$D18="We will"),Variables!$J23,IF(AND($D15="$0",$D18="We will"),Variables!$K23,IF(AND($D15="&gt; $100K",$D18="Serum will"),Variables!$F27,IF(AND($D15="$50K - $100K",$D18="Serum will"),Variables!$G27,IF(AND($D15="$25 - $50K",$D18="Serum will"),Variables!$H27,IF(AND($D15="$10 - $25K",$D18="Serum will"),Variables!$I27,IF(AND($D15="&lt; $10K",$D18="Serum will"),Variables!$J27,IF(AND($D15="$0",$D18="Serum will"),Variables!$K27))))))))))))</f>
        <v>0.59360299476578549</v>
      </c>
      <c r="I21" s="46">
        <f>IF(AND($D15="&gt; $100K",$D18="We will"),Variables!$F23,IF(AND($D15="$50K - $100K",$D18="We will"),Variables!$G23,IF(AND($D15="$25 - $50K",$D18="We will"),Variables!$H23,IF(AND($D15="$10 - $25K",$D18="We will"),Variables!$I23,IF(AND($D15="&lt; $10K",$D18="We will"),Variables!$J23,IF(AND($D15="$0",$D18="We will"),Variables!$K23,IF(AND($D15="&gt; $100K",$D18="Serum will"),Variables!$F27,IF(AND($D15="$50K - $100K",$D18="Serum will"),Variables!$G27,IF(AND($D15="$25 - $50K",$D18="Serum will"),Variables!$H27,IF(AND($D15="$10 - $25K",$D18="Serum will"),Variables!$I27,IF(AND($D15="&lt; $10K",$D18="Serum will"),Variables!$J27,IF(AND($D15="$0",$D18="Serum will"),Variables!$K27))))))))))))</f>
        <v>0.59360299476578549</v>
      </c>
      <c r="J21" s="46">
        <f>IF(AND($D15="&gt; $100K",$D18="We will"),Variables!$F23,IF(AND($D15="$50K - $100K",$D18="We will"),Variables!$G23,IF(AND($D15="$25 - $50K",$D18="We will"),Variables!$H23,IF(AND($D15="$10 - $25K",$D18="We will"),Variables!$I23,IF(AND($D15="&lt; $10K",$D18="We will"),Variables!$J23,IF(AND($D15="$0",$D18="We will"),Variables!$K23,IF(AND($D15="&gt; $100K",$D18="Serum will"),Variables!$F27,IF(AND($D15="$50K - $100K",$D18="Serum will"),Variables!$G27,IF(AND($D15="$25 - $50K",$D18="Serum will"),Variables!$H27,IF(AND($D15="$10 - $25K",$D18="Serum will"),Variables!$I27,IF(AND($D15="&lt; $10K",$D18="Serum will"),Variables!$J27,IF(AND($D15="$0",$D18="Serum will"),Variables!$K27))))))))))))</f>
        <v>0.59360299476578549</v>
      </c>
      <c r="K21" s="46">
        <f>IF(AND($D15="&gt; $100K",$D18="We will"),Variables!$F23,IF(AND($D15="$50K - $100K",$D18="We will"),Variables!$G23,IF(AND($D15="$25 - $50K",$D18="We will"),Variables!$H23,IF(AND($D15="$10 - $25K",$D18="We will"),Variables!$I23,IF(AND($D15="&lt; $10K",$D18="We will"),Variables!$J23,IF(AND($D15="$0",$D18="We will"),Variables!$K23,IF(AND($D15="&gt; $100K",$D18="Serum will"),Variables!$F27,IF(AND($D15="$50K - $100K",$D18="Serum will"),Variables!$G27,IF(AND($D15="$25 - $50K",$D18="Serum will"),Variables!$H27,IF(AND($D15="$10 - $25K",$D18="Serum will"),Variables!$I27,IF(AND($D15="&lt; $10K",$D18="Serum will"),Variables!$J27,IF(AND($D15="$0",$D18="Serum will"),Variables!$K27))))))))))))</f>
        <v>0.59360299476578549</v>
      </c>
      <c r="L21" s="46">
        <f>IF(AND($D15="&gt; $100K",$D18="We will"),Variables!$F23,IF(AND($D15="$50K - $100K",$D18="We will"),Variables!$G23,IF(AND($D15="$25 - $50K",$D18="We will"),Variables!$H23,IF(AND($D15="$10 - $25K",$D18="We will"),Variables!$I23,IF(AND($D15="&lt; $10K",$D18="We will"),Variables!$J23,IF(AND($D15="$0",$D18="We will"),Variables!$K23,IF(AND($D15="&gt; $100K",$D18="Serum will"),Variables!$F27,IF(AND($D15="$50K - $100K",$D18="Serum will"),Variables!$G27,IF(AND($D15="$25 - $50K",$D18="Serum will"),Variables!$H27,IF(AND($D15="$10 - $25K",$D18="Serum will"),Variables!$I27,IF(AND($D15="&lt; $10K",$D18="Serum will"),Variables!$J27,IF(AND($D15="$0",$D18="Serum will"),Variables!$K27))))))))))))</f>
        <v>0.59360299476578549</v>
      </c>
      <c r="M21" s="46">
        <f>IF(AND($D15="&gt; $100K",$D18="We will"),Variables!$F23,IF(AND($D15="$50K - $100K",$D18="We will"),Variables!$G23,IF(AND($D15="$25 - $50K",$D18="We will"),Variables!$H23,IF(AND($D15="$10 - $25K",$D18="We will"),Variables!$I23,IF(AND($D15="&lt; $10K",$D18="We will"),Variables!$J23,IF(AND($D15="$0",$D18="We will"),Variables!$K23,IF(AND($D15="&gt; $100K",$D18="Serum will"),Variables!$F27,IF(AND($D15="$50K - $100K",$D18="Serum will"),Variables!$G27,IF(AND($D15="$25 - $50K",$D18="Serum will"),Variables!$H27,IF(AND($D15="$10 - $25K",$D18="Serum will"),Variables!$I27,IF(AND($D15="&lt; $10K",$D18="Serum will"),Variables!$J27,IF(AND($D15="$0",$D18="Serum will"),Variables!$K27))))))))))))</f>
        <v>0.59360299476578549</v>
      </c>
      <c r="N21" s="46">
        <f>IF(AND($D15="&gt; $100K",$D18="We will"),Variables!$F23,IF(AND($D15="$50K - $100K",$D18="We will"),Variables!$G23,IF(AND($D15="$25 - $50K",$D18="We will"),Variables!$H23,IF(AND($D15="$10 - $25K",$D18="We will"),Variables!$I23,IF(AND($D15="&lt; $10K",$D18="We will"),Variables!$J23,IF(AND($D15="$0",$D18="We will"),Variables!$K23,IF(AND($D15="&gt; $100K",$D18="Serum will"),Variables!$F27,IF(AND($D15="$50K - $100K",$D18="Serum will"),Variables!$G27,IF(AND($D15="$25 - $50K",$D18="Serum will"),Variables!$H27,IF(AND($D15="$10 - $25K",$D18="Serum will"),Variables!$I27,IF(AND($D15="&lt; $10K",$D18="Serum will"),Variables!$J27,IF(AND($D15="$0",$D18="Serum will"),Variables!$K27))))))))))))</f>
        <v>0.59360299476578549</v>
      </c>
      <c r="O21" s="46">
        <f>IF(AND($D15="&gt; $100K",$D18="We will"),Variables!$F23,IF(AND($D15="$50K - $100K",$D18="We will"),Variables!$G23,IF(AND($D15="$25 - $50K",$D18="We will"),Variables!$H23,IF(AND($D15="$10 - $25K",$D18="We will"),Variables!$I23,IF(AND($D15="&lt; $10K",$D18="We will"),Variables!$J23,IF(AND($D15="$0",$D18="We will"),Variables!$K23,IF(AND($D15="&gt; $100K",$D18="Serum will"),Variables!$F27,IF(AND($D15="$50K - $100K",$D18="Serum will"),Variables!$G27,IF(AND($D15="$25 - $50K",$D18="Serum will"),Variables!$H27,IF(AND($D15="$10 - $25K",$D18="Serum will"),Variables!$I27,IF(AND($D15="&lt; $10K",$D18="Serum will"),Variables!$J27,IF(AND($D15="$0",$D18="Serum will"),Variables!$K27))))))))))))</f>
        <v>0.59360299476578549</v>
      </c>
      <c r="P21" s="32"/>
      <c r="Q21" s="102"/>
      <c r="R21" s="103"/>
      <c r="S21" s="103"/>
      <c r="T21" s="103"/>
      <c r="U21" s="103"/>
      <c r="V21" s="104"/>
      <c r="W21" s="32"/>
      <c r="X21" s="32"/>
      <c r="Y21" s="32"/>
      <c r="Z21" s="32"/>
    </row>
    <row r="22" spans="1:26" s="21" customFormat="1" ht="9.9499999999999993" customHeight="1" thickBot="1" x14ac:dyDescent="0.3">
      <c r="A22" s="47"/>
      <c r="B22" s="50"/>
      <c r="C22" s="47"/>
      <c r="D22" s="42"/>
      <c r="E22" s="47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7"/>
      <c r="Q22" s="102"/>
      <c r="R22" s="103"/>
      <c r="S22" s="103"/>
      <c r="T22" s="103"/>
      <c r="U22" s="103"/>
      <c r="V22" s="104"/>
      <c r="W22" s="47"/>
      <c r="X22" s="47"/>
      <c r="Y22" s="47"/>
      <c r="Z22" s="47"/>
    </row>
    <row r="23" spans="1:26" s="94" customFormat="1" ht="18.75" thickTop="1" thickBot="1" x14ac:dyDescent="0.3">
      <c r="A23" s="93"/>
      <c r="B23" s="95" t="s">
        <v>46</v>
      </c>
      <c r="C23" s="96"/>
      <c r="D23" s="97"/>
      <c r="E23" s="96"/>
      <c r="F23" s="97">
        <f>F20/((F5*10000*0.365)+F20)</f>
        <v>4.3998574182804999E-2</v>
      </c>
      <c r="G23" s="97">
        <f t="shared" ref="G23:O23" si="2">G20/((G5*10000*0.365)+G20)</f>
        <v>8.1588166004584781E-2</v>
      </c>
      <c r="H23" s="97">
        <f t="shared" si="2"/>
        <v>0.11399501251609041</v>
      </c>
      <c r="I23" s="97">
        <f t="shared" si="2"/>
        <v>0.14215294112298615</v>
      </c>
      <c r="J23" s="97">
        <f t="shared" si="2"/>
        <v>0.16678568522514683</v>
      </c>
      <c r="K23" s="97">
        <f t="shared" si="2"/>
        <v>0.18846286900568296</v>
      </c>
      <c r="L23" s="97">
        <f t="shared" si="2"/>
        <v>0.20763899036125352</v>
      </c>
      <c r="M23" s="97">
        <f t="shared" si="2"/>
        <v>0.22468113555062552</v>
      </c>
      <c r="N23" s="97">
        <f t="shared" si="2"/>
        <v>0.23988905096538418</v>
      </c>
      <c r="O23" s="98">
        <f t="shared" si="2"/>
        <v>0.25350992297924119</v>
      </c>
      <c r="P23" s="93"/>
      <c r="Q23" s="105"/>
      <c r="R23" s="106"/>
      <c r="S23" s="106"/>
      <c r="T23" s="106"/>
      <c r="U23" s="106"/>
      <c r="V23" s="107"/>
      <c r="W23" s="93"/>
      <c r="X23" s="93"/>
      <c r="Y23" s="93"/>
      <c r="Z23" s="93"/>
    </row>
    <row r="24" spans="1:26" s="79" customFormat="1" ht="18" thickTop="1" x14ac:dyDescent="0.25">
      <c r="A24" s="75"/>
      <c r="B24" s="76"/>
      <c r="C24" s="75"/>
      <c r="D24" s="77"/>
      <c r="E24" s="75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s="79" customFormat="1" x14ac:dyDescent="0.25">
      <c r="A25" s="75"/>
      <c r="B25" s="76"/>
      <c r="C25" s="75"/>
      <c r="D25" s="77"/>
      <c r="E25" s="75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s="79" customFormat="1" x14ac:dyDescent="0.25">
      <c r="A26" s="75"/>
      <c r="B26" s="76"/>
      <c r="C26" s="75"/>
      <c r="D26" s="77"/>
      <c r="E26" s="75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s="79" customFormat="1" x14ac:dyDescent="0.25">
      <c r="A27" s="75"/>
      <c r="B27" s="76"/>
      <c r="C27" s="75"/>
      <c r="D27" s="77"/>
      <c r="E27" s="75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s="79" customFormat="1" x14ac:dyDescent="0.25">
      <c r="A28" s="75"/>
      <c r="B28" s="76"/>
      <c r="C28" s="75"/>
      <c r="D28" s="77"/>
      <c r="E28" s="75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s="79" customFormat="1" x14ac:dyDescent="0.25">
      <c r="A29" s="75"/>
      <c r="B29" s="76"/>
      <c r="C29" s="75"/>
      <c r="D29" s="77"/>
      <c r="E29" s="75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s="79" customFormat="1" x14ac:dyDescent="0.25">
      <c r="A30" s="75"/>
      <c r="B30" s="76"/>
      <c r="C30" s="75"/>
      <c r="D30" s="77"/>
      <c r="E30" s="75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s="79" customFormat="1" x14ac:dyDescent="0.25">
      <c r="A31" s="75"/>
      <c r="B31" s="76"/>
      <c r="C31" s="75"/>
      <c r="D31" s="77"/>
      <c r="E31" s="75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s="79" customFormat="1" x14ac:dyDescent="0.25">
      <c r="B32" s="80"/>
      <c r="D32" s="81"/>
      <c r="F32" s="82"/>
      <c r="G32" s="82"/>
      <c r="H32" s="82"/>
      <c r="I32" s="82"/>
      <c r="J32" s="82"/>
      <c r="K32" s="82"/>
      <c r="L32" s="82"/>
      <c r="M32" s="82"/>
      <c r="N32" s="82"/>
      <c r="O32" s="82"/>
    </row>
  </sheetData>
  <mergeCells count="5">
    <mergeCell ref="F1:O1"/>
    <mergeCell ref="D15:D16"/>
    <mergeCell ref="F15:F16"/>
    <mergeCell ref="G15:G16"/>
    <mergeCell ref="Q20:V23"/>
  </mergeCells>
  <phoneticPr fontId="2" type="noConversion"/>
  <pageMargins left="0.45" right="0.2" top="1.25" bottom="0.75" header="0.3" footer="0.3"/>
  <pageSetup scale="5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C5229DD-8C38-4360-82C1-3613501A493C}">
          <x14:formula1>
            <xm:f>Variables!$F$6:$K$6</xm:f>
          </x14:formula1>
          <xm:sqref>D9</xm:sqref>
        </x14:dataValidation>
        <x14:dataValidation type="list" allowBlank="1" showInputMessage="1" showErrorMessage="1" xr:uid="{533997A0-DAE1-4E8C-9231-0F524F7FA471}">
          <x14:formula1>
            <xm:f>Variables!$F$11:$G$11</xm:f>
          </x14:formula1>
          <xm:sqref>D18</xm:sqref>
        </x14:dataValidation>
        <x14:dataValidation type="list" allowBlank="1" showInputMessage="1" showErrorMessage="1" xr:uid="{04BD002F-94C1-44E5-A927-7EBDA7B70C99}">
          <x14:formula1>
            <xm:f>Variables!$F$4:$P$4</xm:f>
          </x14:formula1>
          <xm:sqref>D7</xm:sqref>
        </x14:dataValidation>
        <x14:dataValidation type="list" allowBlank="1" showInputMessage="1" showErrorMessage="1" xr:uid="{D01C1A18-39A7-4D62-B0C4-8154F12FDE96}">
          <x14:formula1>
            <xm:f>Variables!$F$2:$Q$2</xm:f>
          </x14:formula1>
          <xm:sqref>D5</xm:sqref>
        </x14:dataValidation>
        <x14:dataValidation type="list" allowBlank="1" showInputMessage="1" showErrorMessage="1" xr:uid="{2A40086F-B22A-4364-911D-A25D57804E8C}">
          <x14:formula1>
            <xm:f>Variables!$F$8:$J$8</xm:f>
          </x14:formula1>
          <xm:sqref>D15:D16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78931-8955-47AD-AB7C-92F8DB2ADB92}">
  <dimension ref="B1:S27"/>
  <sheetViews>
    <sheetView topLeftCell="A7" workbookViewId="0">
      <selection activeCell="N26" sqref="N26"/>
    </sheetView>
  </sheetViews>
  <sheetFormatPr defaultRowHeight="15" x14ac:dyDescent="0.25"/>
  <cols>
    <col min="1" max="1" width="4.7109375" style="3" customWidth="1"/>
    <col min="2" max="2" width="32.7109375" style="1" customWidth="1"/>
    <col min="3" max="3" width="1.7109375" style="3" customWidth="1"/>
    <col min="4" max="4" width="9.140625" style="3"/>
    <col min="5" max="5" width="1.7109375" style="3" customWidth="1"/>
    <col min="6" max="6" width="9.7109375" style="3" customWidth="1"/>
    <col min="7" max="7" width="10.7109375" style="3" customWidth="1"/>
    <col min="8" max="22" width="9.7109375" style="3" customWidth="1"/>
    <col min="23" max="16384" width="9.140625" style="3"/>
  </cols>
  <sheetData>
    <row r="1" spans="2:19" ht="15.75" thickBot="1" x14ac:dyDescent="0.3"/>
    <row r="2" spans="2:19" s="14" customFormat="1" ht="30.75" thickBot="1" x14ac:dyDescent="0.3">
      <c r="B2" s="12" t="s">
        <v>0</v>
      </c>
      <c r="D2" s="4"/>
      <c r="F2" s="14">
        <v>400</v>
      </c>
      <c r="G2" s="14">
        <v>350</v>
      </c>
      <c r="H2" s="14">
        <v>300</v>
      </c>
      <c r="I2" s="14">
        <v>250</v>
      </c>
      <c r="J2" s="14">
        <v>200</v>
      </c>
      <c r="K2" s="14">
        <v>175</v>
      </c>
      <c r="L2" s="14">
        <v>150</v>
      </c>
      <c r="M2" s="14">
        <v>125</v>
      </c>
      <c r="N2" s="14">
        <v>100</v>
      </c>
      <c r="O2" s="14">
        <v>75</v>
      </c>
      <c r="P2" s="14">
        <v>50</v>
      </c>
      <c r="Q2" s="14">
        <v>25</v>
      </c>
    </row>
    <row r="3" spans="2:19" ht="15.75" thickBot="1" x14ac:dyDescent="0.3"/>
    <row r="4" spans="2:19" s="26" customFormat="1" ht="30.75" thickBot="1" x14ac:dyDescent="0.3">
      <c r="B4" s="25" t="s">
        <v>11</v>
      </c>
      <c r="D4" s="30"/>
      <c r="F4" s="26">
        <v>0.25</v>
      </c>
      <c r="G4" s="61">
        <v>0.22500000000000001</v>
      </c>
      <c r="H4" s="26">
        <v>0.2</v>
      </c>
      <c r="I4" s="26">
        <v>0.17499999999999999</v>
      </c>
      <c r="J4" s="26">
        <v>0.15</v>
      </c>
      <c r="K4" s="26">
        <v>0.125</v>
      </c>
      <c r="L4" s="26">
        <v>0.1</v>
      </c>
      <c r="M4" s="26">
        <v>7.4999999999999997E-2</v>
      </c>
      <c r="N4" s="26">
        <v>0.05</v>
      </c>
      <c r="O4" s="26">
        <v>2.5000000000000001E-2</v>
      </c>
      <c r="P4" s="26">
        <v>0</v>
      </c>
    </row>
    <row r="5" spans="2:19" ht="15.75" thickBot="1" x14ac:dyDescent="0.3"/>
    <row r="6" spans="2:19" s="17" customFormat="1" ht="30.75" thickBot="1" x14ac:dyDescent="0.3">
      <c r="B6" s="15" t="s">
        <v>12</v>
      </c>
      <c r="D6" s="5"/>
      <c r="F6" s="17">
        <v>1</v>
      </c>
      <c r="G6" s="17">
        <v>0.75</v>
      </c>
      <c r="H6" s="17">
        <v>0.66669999999999996</v>
      </c>
      <c r="I6" s="17">
        <v>0.5</v>
      </c>
      <c r="J6" s="17">
        <v>0.33329999999999999</v>
      </c>
      <c r="K6" s="17">
        <v>0.25</v>
      </c>
    </row>
    <row r="7" spans="2:19" ht="15.75" thickBot="1" x14ac:dyDescent="0.3"/>
    <row r="8" spans="2:19" s="7" customFormat="1" x14ac:dyDescent="0.25">
      <c r="B8" s="71" t="s">
        <v>36</v>
      </c>
      <c r="C8" s="47"/>
      <c r="D8" s="73"/>
      <c r="F8" s="83" t="s">
        <v>43</v>
      </c>
      <c r="G8" s="83" t="s">
        <v>42</v>
      </c>
      <c r="H8" s="83" t="s">
        <v>37</v>
      </c>
      <c r="I8" s="83" t="s">
        <v>38</v>
      </c>
      <c r="J8" s="83" t="s">
        <v>39</v>
      </c>
      <c r="K8" s="92" t="s">
        <v>45</v>
      </c>
      <c r="O8" s="65"/>
    </row>
    <row r="9" spans="2:19" s="64" customFormat="1" ht="15.75" thickBot="1" x14ac:dyDescent="0.3">
      <c r="B9" s="72"/>
      <c r="D9" s="74"/>
      <c r="F9" s="63">
        <v>0.125</v>
      </c>
      <c r="G9" s="63">
        <v>0.1</v>
      </c>
      <c r="H9" s="63">
        <v>7.4999999999999997E-2</v>
      </c>
      <c r="I9" s="63">
        <v>0.05</v>
      </c>
      <c r="J9" s="63">
        <v>2.5000000000000001E-2</v>
      </c>
      <c r="K9" s="84">
        <v>0</v>
      </c>
    </row>
    <row r="10" spans="2:19" s="64" customFormat="1" ht="15.75" thickBot="1" x14ac:dyDescent="0.3">
      <c r="B10" s="1"/>
    </row>
    <row r="11" spans="2:19" s="19" customFormat="1" ht="30.75" thickBot="1" x14ac:dyDescent="0.3">
      <c r="B11" s="18" t="s">
        <v>13</v>
      </c>
      <c r="D11" s="6"/>
      <c r="F11" s="19" t="s">
        <v>14</v>
      </c>
      <c r="G11" s="19" t="s">
        <v>30</v>
      </c>
    </row>
    <row r="12" spans="2:19" x14ac:dyDescent="0.25">
      <c r="B12" s="1" t="s">
        <v>22</v>
      </c>
      <c r="G12" s="29">
        <v>79.5</v>
      </c>
      <c r="I12" s="52" t="s">
        <v>44</v>
      </c>
      <c r="J12" s="53"/>
      <c r="K12" s="53"/>
      <c r="L12" s="53"/>
    </row>
    <row r="15" spans="2:19" x14ac:dyDescent="0.25">
      <c r="D15" s="3" t="s">
        <v>19</v>
      </c>
      <c r="F15" s="3" t="s">
        <v>20</v>
      </c>
    </row>
    <row r="16" spans="2:19" x14ac:dyDescent="0.25">
      <c r="B16" s="1" t="s">
        <v>15</v>
      </c>
      <c r="D16" s="29">
        <v>129.94999999999999</v>
      </c>
      <c r="F16" s="29">
        <v>34.950000000000003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2:19" s="64" customFormat="1" x14ac:dyDescent="0.25">
      <c r="B17" s="1" t="s">
        <v>32</v>
      </c>
      <c r="D17" s="29">
        <v>119.95</v>
      </c>
      <c r="F17" s="29">
        <v>34.950000000000003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2:19" x14ac:dyDescent="0.25">
      <c r="B18" s="1" t="s">
        <v>16</v>
      </c>
      <c r="D18" s="29">
        <v>55.1</v>
      </c>
      <c r="F18" s="29">
        <v>19.899999999999999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19" x14ac:dyDescent="0.25">
      <c r="D19" s="29"/>
    </row>
    <row r="20" spans="2:19" s="28" customFormat="1" x14ac:dyDescent="0.25">
      <c r="B20" s="55" t="s">
        <v>34</v>
      </c>
      <c r="I20" s="52" t="s">
        <v>33</v>
      </c>
      <c r="J20" s="53"/>
      <c r="K20" s="53"/>
      <c r="L20" s="53"/>
    </row>
    <row r="21" spans="2:19" s="28" customFormat="1" x14ac:dyDescent="0.25">
      <c r="B21" s="27" t="s">
        <v>17</v>
      </c>
      <c r="F21" s="29">
        <f>($D17*3)+($F17*0.5)</f>
        <v>377.32500000000005</v>
      </c>
      <c r="G21" s="29">
        <f t="shared" ref="G21:J21" si="0">($D17*3)+($F17*0.5)</f>
        <v>377.32500000000005</v>
      </c>
      <c r="H21" s="29">
        <f t="shared" si="0"/>
        <v>377.32500000000005</v>
      </c>
      <c r="I21" s="29">
        <f t="shared" si="0"/>
        <v>377.32500000000005</v>
      </c>
      <c r="J21" s="85">
        <f t="shared" si="0"/>
        <v>377.32500000000005</v>
      </c>
      <c r="K21" s="85">
        <f>($D17*3)+($F17*0.5)</f>
        <v>377.32500000000005</v>
      </c>
      <c r="L21" s="29"/>
    </row>
    <row r="22" spans="2:19" s="28" customFormat="1" x14ac:dyDescent="0.25">
      <c r="B22" s="27" t="s">
        <v>18</v>
      </c>
      <c r="D22" s="29"/>
      <c r="F22" s="29">
        <f>(($D18*3)+($F18*0.5))*(1-F9)</f>
        <v>153.34375</v>
      </c>
      <c r="G22" s="29">
        <f t="shared" ref="F22:K22" si="1">(($D18*3)+($F18*0.5))*(1-G9)</f>
        <v>157.72499999999999</v>
      </c>
      <c r="H22" s="29">
        <f t="shared" si="1"/>
        <v>162.10625000000002</v>
      </c>
      <c r="I22" s="29">
        <f t="shared" si="1"/>
        <v>166.48749999999998</v>
      </c>
      <c r="J22" s="85">
        <f>(($D18*3)+($F18*0.5))*(1-J9)</f>
        <v>170.86875000000001</v>
      </c>
      <c r="K22" s="85">
        <f>(($D18*3)+($F18*0.5))*(1-K9)</f>
        <v>175.25</v>
      </c>
      <c r="L22" s="29"/>
    </row>
    <row r="23" spans="2:19" s="26" customFormat="1" x14ac:dyDescent="0.25">
      <c r="B23" s="25" t="s">
        <v>35</v>
      </c>
      <c r="F23" s="63">
        <f>(F21-F22)/F21</f>
        <v>0.59360299476578549</v>
      </c>
      <c r="G23" s="63">
        <f>(G21-G22)/G21</f>
        <v>0.58199165175909373</v>
      </c>
      <c r="H23" s="63">
        <f t="shared" ref="H23:J23" si="2">(H21-H22)/H21</f>
        <v>0.57038030875240175</v>
      </c>
      <c r="I23" s="63">
        <f t="shared" si="2"/>
        <v>0.55876896574571</v>
      </c>
      <c r="J23" s="84">
        <f t="shared" si="2"/>
        <v>0.54715762273901813</v>
      </c>
      <c r="K23" s="84">
        <f>(K21-K22)/K21</f>
        <v>0.53554627973232627</v>
      </c>
    </row>
    <row r="24" spans="2:19" x14ac:dyDescent="0.25">
      <c r="F24" s="64"/>
      <c r="J24" s="86"/>
      <c r="K24" s="86"/>
    </row>
    <row r="25" spans="2:19" x14ac:dyDescent="0.25">
      <c r="B25" s="54" t="s">
        <v>23</v>
      </c>
      <c r="F25" s="64"/>
      <c r="J25" s="86"/>
      <c r="K25" s="86"/>
    </row>
    <row r="26" spans="2:19" s="28" customFormat="1" x14ac:dyDescent="0.25">
      <c r="B26" s="27" t="s">
        <v>18</v>
      </c>
      <c r="D26" s="29"/>
      <c r="F26" s="29">
        <f>F22+$G12</f>
        <v>232.84375</v>
      </c>
      <c r="G26" s="29">
        <f t="shared" ref="G26:J26" si="3">G22+$G12</f>
        <v>237.22499999999999</v>
      </c>
      <c r="H26" s="29">
        <f t="shared" si="3"/>
        <v>241.60625000000002</v>
      </c>
      <c r="I26" s="29">
        <f t="shared" si="3"/>
        <v>245.98749999999998</v>
      </c>
      <c r="J26" s="85">
        <f>J22+$G12</f>
        <v>250.36875000000001</v>
      </c>
      <c r="K26" s="85">
        <f>K22+$G12</f>
        <v>254.75</v>
      </c>
      <c r="L26" s="29"/>
    </row>
    <row r="27" spans="2:19" s="26" customFormat="1" x14ac:dyDescent="0.25">
      <c r="B27" s="25" t="s">
        <v>35</v>
      </c>
      <c r="F27" s="63">
        <f>(F21-F26)/F21</f>
        <v>0.38290929569999343</v>
      </c>
      <c r="G27" s="63">
        <f t="shared" ref="G27:J27" si="4">(G21-G26)/G21</f>
        <v>0.37129795269330162</v>
      </c>
      <c r="H27" s="63">
        <f t="shared" si="4"/>
        <v>0.3596866096866097</v>
      </c>
      <c r="I27" s="63">
        <f t="shared" si="4"/>
        <v>0.34807526667991795</v>
      </c>
      <c r="J27" s="84">
        <f t="shared" si="4"/>
        <v>0.33646392367322608</v>
      </c>
      <c r="K27" s="84">
        <f>(K21-K26)/K21</f>
        <v>0.32485258066653422</v>
      </c>
    </row>
  </sheetData>
  <mergeCells count="2">
    <mergeCell ref="B8:B9"/>
    <mergeCell ref="D8:D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04E61F24CC94EA7D8B27708366366" ma:contentTypeVersion="13" ma:contentTypeDescription="Create a new document." ma:contentTypeScope="" ma:versionID="6944d7963b2f71ac0add3931bc9be8d4">
  <xsd:schema xmlns:xsd="http://www.w3.org/2001/XMLSchema" xmlns:xs="http://www.w3.org/2001/XMLSchema" xmlns:p="http://schemas.microsoft.com/office/2006/metadata/properties" xmlns:ns3="5cc1254e-cc25-4be9-a5a2-5942c1075ebc" xmlns:ns4="d2b6a080-5e7d-41f6-9078-3d0aa5427a53" targetNamespace="http://schemas.microsoft.com/office/2006/metadata/properties" ma:root="true" ma:fieldsID="04edcdc61326f480021e81a24e37ccb1" ns3:_="" ns4:_="">
    <xsd:import namespace="5cc1254e-cc25-4be9-a5a2-5942c1075ebc"/>
    <xsd:import namespace="d2b6a080-5e7d-41f6-9078-3d0aa5427a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1254e-cc25-4be9-a5a2-5942c107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6a080-5e7d-41f6-9078-3d0aa5427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B0ACA6-E909-4289-B068-0488545D86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5DD149-EC0E-4997-96A6-C1C9E58AF490}">
  <ds:schemaRefs>
    <ds:schemaRef ds:uri="5cc1254e-cc25-4be9-a5a2-5942c1075ebc"/>
    <ds:schemaRef ds:uri="http://purl.org/dc/elements/1.1/"/>
    <ds:schemaRef ds:uri="http://schemas.microsoft.com/office/infopath/2007/PartnerControls"/>
    <ds:schemaRef ds:uri="http://purl.org/dc/terms/"/>
    <ds:schemaRef ds:uri="d2b6a080-5e7d-41f6-9078-3d0aa5427a53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929AE7-6BB1-4ACD-9C92-36E4866EAF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c1254e-cc25-4be9-a5a2-5942c1075ebc"/>
    <ds:schemaRef ds:uri="d2b6a080-5e7d-41f6-9078-3d0aa5427a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Serum Profit Projection</vt:lpstr>
      <vt:lpstr>Variables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Meyer</dc:creator>
  <cp:lastModifiedBy>Bill Meyer</cp:lastModifiedBy>
  <cp:lastPrinted>2021-08-23T20:11:34Z</cp:lastPrinted>
  <dcterms:created xsi:type="dcterms:W3CDTF">2020-12-05T21:45:40Z</dcterms:created>
  <dcterms:modified xsi:type="dcterms:W3CDTF">2021-08-23T20:59:32Z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0x01010033C04E61F24CC94EA7D8B27708366366</vt:lpwstr>
  </property>
</Properties>
</file>